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1"/>
  </bookViews>
  <sheets>
    <sheet name="pretensado" sheetId="1" r:id="rId1"/>
    <sheet name="s-n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<sst xmlns="http://schemas.openxmlformats.org/spreadsheetml/2006/main" count="158" uniqueCount="105">
  <si>
    <t>D1</t>
  </si>
  <si>
    <t>M</t>
  </si>
  <si>
    <t>Z</t>
  </si>
  <si>
    <t>dientes</t>
  </si>
  <si>
    <t>Dengranaje</t>
  </si>
  <si>
    <t>Potencia</t>
  </si>
  <si>
    <t>CV</t>
  </si>
  <si>
    <t>Revoluciones</t>
  </si>
  <si>
    <t>rpm</t>
  </si>
  <si>
    <t>Mt</t>
  </si>
  <si>
    <t>Kg*cm</t>
  </si>
  <si>
    <t>Ft</t>
  </si>
  <si>
    <t>cm</t>
  </si>
  <si>
    <t>Kg</t>
  </si>
  <si>
    <t>F</t>
  </si>
  <si>
    <t>Fr</t>
  </si>
  <si>
    <t>Calculo de tensiones en polea</t>
  </si>
  <si>
    <t>Calculo de Cargas</t>
  </si>
  <si>
    <t>T1</t>
  </si>
  <si>
    <t>DATOS DE PARTIDA</t>
  </si>
  <si>
    <t>T2</t>
  </si>
  <si>
    <t>Rpolea</t>
  </si>
  <si>
    <t>Calculo de Reacciones</t>
  </si>
  <si>
    <t>Plano xy</t>
  </si>
  <si>
    <t>Rc</t>
  </si>
  <si>
    <t>Ra</t>
  </si>
  <si>
    <t>DistAC</t>
  </si>
  <si>
    <t>in</t>
  </si>
  <si>
    <t>DistAD</t>
  </si>
  <si>
    <t>DistAB</t>
  </si>
  <si>
    <t>Plano zx</t>
  </si>
  <si>
    <t>Calculo de Momentos Flectores</t>
  </si>
  <si>
    <t>Dist Tramo 1</t>
  </si>
  <si>
    <t>Mf Tramo1</t>
  </si>
  <si>
    <t>Dist Tramo 2</t>
  </si>
  <si>
    <t>Mf Tramo 2</t>
  </si>
  <si>
    <t>Dist Tramo 3</t>
  </si>
  <si>
    <t>Mf Tramo 3</t>
  </si>
  <si>
    <t>Dist Tramo1</t>
  </si>
  <si>
    <t>Mf Tramo 1</t>
  </si>
  <si>
    <t>Momento Flector Real</t>
  </si>
  <si>
    <t>Calculo de Tensiones</t>
  </si>
  <si>
    <t>Sf</t>
  </si>
  <si>
    <t>w</t>
  </si>
  <si>
    <t>Kg/cm^2</t>
  </si>
  <si>
    <t>cm^3</t>
  </si>
  <si>
    <t>Fe</t>
  </si>
  <si>
    <t>Coeficientes</t>
  </si>
  <si>
    <t>Ka</t>
  </si>
  <si>
    <t>Kb</t>
  </si>
  <si>
    <t>Kd</t>
  </si>
  <si>
    <t>Su</t>
  </si>
  <si>
    <t>a</t>
  </si>
  <si>
    <t>b</t>
  </si>
  <si>
    <t>Kcf</t>
  </si>
  <si>
    <t>Kct</t>
  </si>
  <si>
    <t>Ktf</t>
  </si>
  <si>
    <t>Ktt</t>
  </si>
  <si>
    <t>qt</t>
  </si>
  <si>
    <t>qf</t>
  </si>
  <si>
    <t>Kef</t>
  </si>
  <si>
    <t>Ket</t>
  </si>
  <si>
    <t>Kff</t>
  </si>
  <si>
    <t>Kft</t>
  </si>
  <si>
    <t>Tensiones finales</t>
  </si>
  <si>
    <t>Kg/cm2</t>
  </si>
  <si>
    <t>Se/c</t>
  </si>
  <si>
    <t xml:space="preserve">Carga </t>
  </si>
  <si>
    <t>S</t>
  </si>
  <si>
    <t>T</t>
  </si>
  <si>
    <t>Sm</t>
  </si>
  <si>
    <t>S1m</t>
  </si>
  <si>
    <t>Smv</t>
  </si>
  <si>
    <t>Sa</t>
  </si>
  <si>
    <t>S1a</t>
  </si>
  <si>
    <t>Sav</t>
  </si>
  <si>
    <t>Tm</t>
  </si>
  <si>
    <t>S2m</t>
  </si>
  <si>
    <t>Ta</t>
  </si>
  <si>
    <t>S2a</t>
  </si>
  <si>
    <t>con coef.</t>
  </si>
  <si>
    <t>n</t>
  </si>
  <si>
    <t>CURVA</t>
  </si>
  <si>
    <t>carga</t>
  </si>
  <si>
    <t>plastica</t>
  </si>
  <si>
    <t>fatiga</t>
  </si>
  <si>
    <t>B</t>
  </si>
  <si>
    <t>Sy</t>
  </si>
  <si>
    <t>x</t>
  </si>
  <si>
    <t>y</t>
  </si>
  <si>
    <t>Se´</t>
  </si>
  <si>
    <t>Sut</t>
  </si>
  <si>
    <t>Sf´</t>
  </si>
  <si>
    <t>ka</t>
  </si>
  <si>
    <t>kb</t>
  </si>
  <si>
    <t>kc</t>
  </si>
  <si>
    <t>kd</t>
  </si>
  <si>
    <t>ke</t>
  </si>
  <si>
    <t>kf</t>
  </si>
  <si>
    <t>q</t>
  </si>
  <si>
    <t>kg</t>
  </si>
  <si>
    <t>Factores</t>
  </si>
  <si>
    <t>Se sin</t>
  </si>
  <si>
    <t>Se con</t>
  </si>
  <si>
    <t>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</si>
</sst>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2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58">
      <selection activeCell="F73" sqref="F73"/>
    </sheetView>
  </sheetViews>
  <sheetFormatPr defaultColWidth="11.421875" defaultRowHeight="12.75"/>
  <cols>
    <col min="1" max="1" width="12.28125" style="0" customWidth="1"/>
    <col min="2" max="2" width="12.7109375" style="0" bestFit="1" customWidth="1"/>
  </cols>
  <sheetData>
    <row r="1" spans="1:3" ht="12.75">
      <c r="A1" s="1" t="s">
        <v>19</v>
      </c>
      <c r="B1" s="1"/>
      <c r="C1" s="1"/>
    </row>
    <row r="2" spans="1:3" ht="12.75">
      <c r="A2" s="2" t="s">
        <v>0</v>
      </c>
      <c r="B2" s="3">
        <f>25/10</f>
        <v>2.5</v>
      </c>
      <c r="C2" t="s">
        <v>12</v>
      </c>
    </row>
    <row r="3" spans="1:3" ht="12.75">
      <c r="A3" s="2" t="s">
        <v>21</v>
      </c>
      <c r="B3" s="3">
        <v>7.62</v>
      </c>
      <c r="C3" t="s">
        <v>12</v>
      </c>
    </row>
    <row r="4" spans="1:3" ht="12.75">
      <c r="A4" s="2" t="s">
        <v>1</v>
      </c>
      <c r="B4">
        <v>3</v>
      </c>
      <c r="C4" t="s">
        <v>12</v>
      </c>
    </row>
    <row r="5" spans="1:3" ht="12.75">
      <c r="A5" s="2" t="s">
        <v>26</v>
      </c>
      <c r="B5">
        <v>5</v>
      </c>
      <c r="C5" t="s">
        <v>27</v>
      </c>
    </row>
    <row r="6" spans="1:3" ht="12.75">
      <c r="A6" s="2" t="s">
        <v>29</v>
      </c>
      <c r="B6">
        <v>2</v>
      </c>
      <c r="C6" t="s">
        <v>27</v>
      </c>
    </row>
    <row r="7" spans="1:3" ht="12.75">
      <c r="A7" s="2" t="s">
        <v>28</v>
      </c>
      <c r="B7">
        <v>6.75</v>
      </c>
      <c r="C7" t="s">
        <v>27</v>
      </c>
    </row>
    <row r="8" spans="1:3" ht="12.75">
      <c r="A8" s="2" t="s">
        <v>2</v>
      </c>
      <c r="B8">
        <v>25</v>
      </c>
      <c r="C8" t="s">
        <v>3</v>
      </c>
    </row>
    <row r="9" spans="1:3" ht="12.75">
      <c r="A9" s="2" t="s">
        <v>4</v>
      </c>
      <c r="B9">
        <f>($B$4*B8)/10</f>
        <v>7.5</v>
      </c>
      <c r="C9" t="s">
        <v>12</v>
      </c>
    </row>
    <row r="10" spans="1:3" ht="12.75">
      <c r="A10" s="2" t="s">
        <v>5</v>
      </c>
      <c r="B10">
        <v>10</v>
      </c>
      <c r="C10" t="s">
        <v>6</v>
      </c>
    </row>
    <row r="11" spans="1:3" ht="12.75">
      <c r="A11" s="2" t="s">
        <v>7</v>
      </c>
      <c r="B11">
        <v>1725</v>
      </c>
      <c r="C11" t="s">
        <v>8</v>
      </c>
    </row>
    <row r="12" spans="1:3" ht="12.75">
      <c r="A12" s="1" t="s">
        <v>17</v>
      </c>
      <c r="B12" s="1"/>
      <c r="C12" s="1"/>
    </row>
    <row r="13" spans="1:3" ht="12.75">
      <c r="A13" s="5" t="s">
        <v>9</v>
      </c>
      <c r="B13">
        <f>71720*B10/B11</f>
        <v>415.768115942029</v>
      </c>
      <c r="C13" t="s">
        <v>10</v>
      </c>
    </row>
    <row r="14" spans="1:3" ht="12.75">
      <c r="A14" s="5" t="s">
        <v>11</v>
      </c>
      <c r="B14">
        <f>B13/(B9/2)</f>
        <v>110.87149758454106</v>
      </c>
      <c r="C14" t="s">
        <v>13</v>
      </c>
    </row>
    <row r="15" spans="1:3" ht="12.75">
      <c r="A15" s="5" t="s">
        <v>14</v>
      </c>
      <c r="B15">
        <f>B14/COS(20*PI()/180)</f>
        <v>117.98698333058537</v>
      </c>
      <c r="C15" t="s">
        <v>13</v>
      </c>
    </row>
    <row r="16" spans="1:3" ht="12.75">
      <c r="A16" s="5" t="s">
        <v>15</v>
      </c>
      <c r="B16">
        <f>B15*SIN(20*PI()/180)</f>
        <v>40.353924949290096</v>
      </c>
      <c r="C16" t="s">
        <v>13</v>
      </c>
    </row>
    <row r="17" spans="1:3" ht="12.75">
      <c r="A17" s="1" t="s">
        <v>16</v>
      </c>
      <c r="B17" s="1"/>
      <c r="C17" s="1"/>
    </row>
    <row r="18" spans="1:3" ht="12.75">
      <c r="A18" s="5" t="s">
        <v>18</v>
      </c>
      <c r="B18">
        <f>2.5*B19</f>
        <v>90.93790812380337</v>
      </c>
      <c r="C18" t="s">
        <v>13</v>
      </c>
    </row>
    <row r="19" spans="1:3" ht="12.75">
      <c r="A19" s="5" t="s">
        <v>20</v>
      </c>
      <c r="B19">
        <f>B13/(1.5*B3)</f>
        <v>36.37516324952135</v>
      </c>
      <c r="C19" t="s">
        <v>13</v>
      </c>
    </row>
    <row r="20" spans="1:3" ht="12.75">
      <c r="A20" s="1" t="s">
        <v>22</v>
      </c>
      <c r="B20" s="1"/>
      <c r="C20" s="1"/>
    </row>
    <row r="21" ht="12.75">
      <c r="A21" s="4" t="s">
        <v>23</v>
      </c>
    </row>
    <row r="22" spans="1:3" ht="12.75">
      <c r="A22" s="5" t="s">
        <v>24</v>
      </c>
      <c r="B22">
        <f>(B6*B14-(B18+B19)*B7)/B5</f>
        <v>-127.52404732017195</v>
      </c>
      <c r="C22" t="s">
        <v>13</v>
      </c>
    </row>
    <row r="23" spans="1:3" ht="12.75">
      <c r="A23" s="5" t="s">
        <v>25</v>
      </c>
      <c r="B23">
        <f>-B22+B14-B19-B18</f>
        <v>111.0824735313883</v>
      </c>
      <c r="C23" t="s">
        <v>13</v>
      </c>
    </row>
    <row r="24" ht="12.75">
      <c r="A24" s="4" t="s">
        <v>30</v>
      </c>
    </row>
    <row r="25" spans="1:3" ht="12.75">
      <c r="A25" s="5" t="s">
        <v>24</v>
      </c>
      <c r="B25">
        <f>(B6/B5)*B16</f>
        <v>16.14156997971604</v>
      </c>
      <c r="C25" t="s">
        <v>13</v>
      </c>
    </row>
    <row r="26" spans="1:3" ht="12.75">
      <c r="A26" s="5" t="s">
        <v>25</v>
      </c>
      <c r="B26">
        <f>B16-B25</f>
        <v>24.212354969574058</v>
      </c>
      <c r="C26" t="s">
        <v>13</v>
      </c>
    </row>
    <row r="27" spans="1:6" ht="12.75">
      <c r="A27" s="1" t="s">
        <v>31</v>
      </c>
      <c r="B27" s="1"/>
      <c r="C27" s="1"/>
      <c r="D27" s="1"/>
      <c r="E27" s="1"/>
      <c r="F27" s="1"/>
    </row>
    <row r="28" spans="1:6" ht="12.75">
      <c r="A28" s="4" t="s">
        <v>23</v>
      </c>
      <c r="B28" s="4"/>
      <c r="C28" s="4"/>
      <c r="D28" s="4" t="s">
        <v>30</v>
      </c>
      <c r="E28" s="4"/>
      <c r="F28" s="4"/>
    </row>
    <row r="29" spans="1:6" ht="12.75">
      <c r="A29" s="2" t="s">
        <v>32</v>
      </c>
      <c r="B29">
        <f>B6*2.54</f>
        <v>5.08</v>
      </c>
      <c r="C29" t="s">
        <v>12</v>
      </c>
      <c r="D29" s="2" t="s">
        <v>38</v>
      </c>
      <c r="E29">
        <f>B29</f>
        <v>5.08</v>
      </c>
      <c r="F29" t="s">
        <v>12</v>
      </c>
    </row>
    <row r="30" spans="1:6" ht="12.75">
      <c r="A30" s="5" t="s">
        <v>33</v>
      </c>
      <c r="B30">
        <f>B23*B29</f>
        <v>564.2989655394526</v>
      </c>
      <c r="C30" t="s">
        <v>10</v>
      </c>
      <c r="D30" s="5" t="s">
        <v>39</v>
      </c>
      <c r="E30">
        <f>B26*E29</f>
        <v>122.99876324543622</v>
      </c>
      <c r="F30" t="s">
        <v>10</v>
      </c>
    </row>
    <row r="31" spans="1:6" ht="12.75">
      <c r="A31" s="2" t="s">
        <v>34</v>
      </c>
      <c r="B31">
        <f>5*2.54</f>
        <v>12.7</v>
      </c>
      <c r="C31" t="s">
        <v>12</v>
      </c>
      <c r="D31" s="2" t="s">
        <v>34</v>
      </c>
      <c r="E31">
        <f>B31</f>
        <v>12.7</v>
      </c>
      <c r="F31" t="s">
        <v>12</v>
      </c>
    </row>
    <row r="32" spans="1:6" ht="12.75">
      <c r="A32" s="5" t="s">
        <v>35</v>
      </c>
      <c r="B32">
        <f>B23*B31-(B14*(B31-B29))</f>
        <v>565.9066022544285</v>
      </c>
      <c r="C32" t="s">
        <v>10</v>
      </c>
      <c r="D32" s="5" t="s">
        <v>35</v>
      </c>
      <c r="E32">
        <v>0</v>
      </c>
      <c r="F32" t="s">
        <v>10</v>
      </c>
    </row>
    <row r="33" spans="1:3" ht="12.75">
      <c r="A33" s="2" t="s">
        <v>36</v>
      </c>
      <c r="B33">
        <f>B7*2.54</f>
        <v>17.145</v>
      </c>
      <c r="C33" t="s">
        <v>12</v>
      </c>
    </row>
    <row r="34" spans="1:3" ht="12.75">
      <c r="A34" s="5" t="s">
        <v>37</v>
      </c>
      <c r="B34">
        <f>0</f>
        <v>0</v>
      </c>
      <c r="C34" t="s">
        <v>10</v>
      </c>
    </row>
    <row r="35" ht="12.75">
      <c r="A35" s="8"/>
    </row>
    <row r="36" spans="1:4" ht="12.75">
      <c r="A36" s="6" t="s">
        <v>40</v>
      </c>
      <c r="B36" s="6"/>
      <c r="C36">
        <f>(B30^2+E30^2)^0.5</f>
        <v>577.5482821970846</v>
      </c>
      <c r="D36" t="s">
        <v>10</v>
      </c>
    </row>
    <row r="38" spans="1:9" ht="12.75">
      <c r="A38" s="1" t="s">
        <v>41</v>
      </c>
      <c r="B38" s="1"/>
      <c r="C38" s="1"/>
      <c r="E38" s="7" t="s">
        <v>47</v>
      </c>
      <c r="F38" s="7"/>
      <c r="G38" s="2" t="s">
        <v>51</v>
      </c>
      <c r="H38" s="2" t="s">
        <v>52</v>
      </c>
      <c r="I38" s="2" t="s">
        <v>53</v>
      </c>
    </row>
    <row r="39" spans="1:9" ht="12.75">
      <c r="A39" s="5" t="s">
        <v>43</v>
      </c>
      <c r="B39">
        <f>PI()*B2^3</f>
        <v>49.087385212340514</v>
      </c>
      <c r="C39" t="s">
        <v>45</v>
      </c>
      <c r="E39" s="5" t="s">
        <v>48</v>
      </c>
      <c r="F39">
        <f>H39*G39^I39</f>
        <v>0.8832234871415302</v>
      </c>
      <c r="G39">
        <v>470</v>
      </c>
      <c r="H39">
        <v>4.51</v>
      </c>
      <c r="I39">
        <v>-0.265</v>
      </c>
    </row>
    <row r="40" spans="1:6" ht="12.75">
      <c r="A40" s="5" t="s">
        <v>42</v>
      </c>
      <c r="B40">
        <f>32*C36/B39</f>
        <v>376.50294368624196</v>
      </c>
      <c r="C40" t="s">
        <v>44</v>
      </c>
      <c r="E40" s="5" t="s">
        <v>49</v>
      </c>
      <c r="F40">
        <f>((B2*10)/7.62)^(-0.1133)</f>
        <v>0.8740552691862964</v>
      </c>
    </row>
    <row r="41" spans="1:6" ht="12.75">
      <c r="A41" s="5" t="s">
        <v>46</v>
      </c>
      <c r="B41">
        <f>(B14^2+B16^2)^0.5</f>
        <v>117.98698333058539</v>
      </c>
      <c r="C41" t="s">
        <v>13</v>
      </c>
      <c r="E41" s="5" t="s">
        <v>54</v>
      </c>
      <c r="F41">
        <v>1</v>
      </c>
    </row>
    <row r="42" spans="1:6" ht="12.75">
      <c r="A42" s="5" t="s">
        <v>2</v>
      </c>
      <c r="B42">
        <f>(16*B13/B39)+(4*B41/(PI()*B2^2))</f>
        <v>159.55544697478246</v>
      </c>
      <c r="C42" t="s">
        <v>44</v>
      </c>
      <c r="E42" s="5" t="s">
        <v>55</v>
      </c>
      <c r="F42">
        <v>0.577</v>
      </c>
    </row>
    <row r="43" spans="5:6" ht="12.75">
      <c r="E43" s="5" t="s">
        <v>50</v>
      </c>
      <c r="F43">
        <v>1</v>
      </c>
    </row>
    <row r="44" spans="1:10" ht="12.75">
      <c r="A44" s="1" t="s">
        <v>64</v>
      </c>
      <c r="B44" s="1"/>
      <c r="E44" s="5" t="s">
        <v>13</v>
      </c>
      <c r="F44">
        <v>0.9</v>
      </c>
      <c r="G44" s="2" t="s">
        <v>59</v>
      </c>
      <c r="H44" s="2" t="s">
        <v>58</v>
      </c>
      <c r="I44" s="2" t="s">
        <v>56</v>
      </c>
      <c r="J44" s="2" t="s">
        <v>57</v>
      </c>
    </row>
    <row r="45" spans="1:10" ht="12.75">
      <c r="A45" s="5" t="s">
        <v>42</v>
      </c>
      <c r="B45">
        <f>B40/(F41*F47)</f>
        <v>649.2793263869243</v>
      </c>
      <c r="C45" t="s">
        <v>44</v>
      </c>
      <c r="E45" s="5" t="s">
        <v>60</v>
      </c>
      <c r="F45">
        <f>1+G45*(I45-1)</f>
        <v>1.7245</v>
      </c>
      <c r="G45">
        <v>0.69</v>
      </c>
      <c r="H45">
        <v>0.72</v>
      </c>
      <c r="I45">
        <v>2.05</v>
      </c>
      <c r="J45">
        <v>1.6</v>
      </c>
    </row>
    <row r="46" spans="1:6" ht="12.75">
      <c r="A46" s="5" t="s">
        <v>2</v>
      </c>
      <c r="B46">
        <f>B42/(F42*F48)</f>
        <v>395.98509543828163</v>
      </c>
      <c r="C46" t="s">
        <v>44</v>
      </c>
      <c r="E46" s="5" t="s">
        <v>61</v>
      </c>
      <c r="F46">
        <f>1+H45*(J45-1)</f>
        <v>1.432</v>
      </c>
    </row>
    <row r="47" spans="5:6" ht="12.75">
      <c r="E47" s="5" t="s">
        <v>62</v>
      </c>
      <c r="F47">
        <f>1/F45</f>
        <v>0.5798782255726298</v>
      </c>
    </row>
    <row r="48" spans="5:6" ht="12.75">
      <c r="E48" s="5" t="s">
        <v>63</v>
      </c>
      <c r="F48">
        <f>1/F46</f>
        <v>0.6983240223463687</v>
      </c>
    </row>
    <row r="50" spans="1:7" ht="12.75">
      <c r="A50" s="13"/>
      <c r="B50" s="13"/>
      <c r="C50" s="13"/>
      <c r="D50" s="13"/>
      <c r="E50" s="13"/>
      <c r="F50" s="11"/>
      <c r="G50" s="11"/>
    </row>
    <row r="51" spans="1:3" ht="12.75">
      <c r="A51" s="13"/>
      <c r="B51" s="11"/>
      <c r="C51" s="11"/>
    </row>
    <row r="52" spans="1:3" ht="12.75">
      <c r="A52" s="11"/>
      <c r="B52" s="11"/>
      <c r="C52" s="11"/>
    </row>
    <row r="53" spans="1:2" ht="12.75">
      <c r="A53" s="9" t="s">
        <v>86</v>
      </c>
      <c r="B53" s="10"/>
    </row>
    <row r="54" spans="1:9" ht="12.75">
      <c r="A54" s="2" t="s">
        <v>67</v>
      </c>
      <c r="B54" s="2" t="s">
        <v>68</v>
      </c>
      <c r="C54" s="2" t="s">
        <v>69</v>
      </c>
      <c r="D54" s="11"/>
      <c r="E54" s="11"/>
      <c r="F54" s="11"/>
      <c r="G54" s="11"/>
      <c r="H54" s="11"/>
      <c r="I54" s="11"/>
    </row>
    <row r="55" spans="2:3" ht="12.75">
      <c r="B55">
        <f>B45</f>
        <v>649.2793263869243</v>
      </c>
      <c r="C55">
        <f>B46</f>
        <v>395.98509543828163</v>
      </c>
    </row>
    <row r="56" spans="2:3" ht="12.75">
      <c r="B56">
        <f>-B55</f>
        <v>-649.2793263869243</v>
      </c>
      <c r="C56">
        <f>C55</f>
        <v>395.98509543828163</v>
      </c>
    </row>
    <row r="57" spans="1:9" ht="12.75">
      <c r="A57" s="2" t="s">
        <v>70</v>
      </c>
      <c r="B57">
        <f>(B55+B56)/2</f>
        <v>0</v>
      </c>
      <c r="C57" s="2" t="s">
        <v>71</v>
      </c>
      <c r="D57">
        <f>B57/2+((B57/2)^2+B59^2)^(1/2)</f>
        <v>395.98509543828163</v>
      </c>
      <c r="E57" s="2" t="s">
        <v>72</v>
      </c>
      <c r="F57">
        <f>(D57^2+D57*D59+D59^2)^(1/2)</f>
        <v>395.98509543828163</v>
      </c>
      <c r="G57" s="9" t="s">
        <v>81</v>
      </c>
      <c r="I57" s="2"/>
    </row>
    <row r="58" spans="1:9" ht="12.75">
      <c r="A58" s="2" t="s">
        <v>73</v>
      </c>
      <c r="B58">
        <f>(B55-B56)/2</f>
        <v>649.2793263869243</v>
      </c>
      <c r="C58" s="2" t="s">
        <v>74</v>
      </c>
      <c r="D58">
        <f>B58/2+((B58/2)^2+B60^2)^(1/2)</f>
        <v>649.2793263869243</v>
      </c>
      <c r="E58" s="2" t="s">
        <v>75</v>
      </c>
      <c r="F58">
        <f>(D58^2+D58*D60+D60^2)^(1/2)</f>
        <v>649.2793263869243</v>
      </c>
      <c r="G58">
        <f>1/(F58/E63+F57/(10*G39))</f>
        <v>2.075067837653918</v>
      </c>
      <c r="I58" s="2"/>
    </row>
    <row r="59" spans="1:4" ht="12.75">
      <c r="A59" s="2" t="s">
        <v>76</v>
      </c>
      <c r="B59">
        <f>(C55+C56)/2</f>
        <v>395.98509543828163</v>
      </c>
      <c r="C59" s="2" t="s">
        <v>77</v>
      </c>
      <c r="D59">
        <f>B57/2-((B57/2)^2+B59^2)^(1/2)</f>
        <v>-395.98509543828163</v>
      </c>
    </row>
    <row r="60" spans="1:4" ht="12.75">
      <c r="A60" s="2" t="s">
        <v>78</v>
      </c>
      <c r="B60">
        <f>(C55-C56)/2</f>
        <v>0</v>
      </c>
      <c r="C60" s="2" t="s">
        <v>79</v>
      </c>
      <c r="D60">
        <f>B58/2-((B58/2)^2+B60^2)^(1/2)</f>
        <v>0</v>
      </c>
    </row>
    <row r="61" ht="12.75">
      <c r="A61" s="12" t="s">
        <v>80</v>
      </c>
    </row>
    <row r="62" spans="3:5" ht="12.75">
      <c r="C62" s="2" t="s">
        <v>51</v>
      </c>
      <c r="D62" s="2" t="s">
        <v>87</v>
      </c>
      <c r="E62" s="2" t="s">
        <v>66</v>
      </c>
    </row>
    <row r="63" spans="1:6" ht="12.75">
      <c r="A63" t="s">
        <v>82</v>
      </c>
      <c r="C63">
        <v>4200</v>
      </c>
      <c r="D63">
        <v>2950</v>
      </c>
      <c r="E63">
        <f>0.5*G39*10*F39*F40*F43*F44</f>
        <v>1632.7506920328915</v>
      </c>
      <c r="F63" s="11" t="s">
        <v>65</v>
      </c>
    </row>
    <row r="64" spans="1:5" ht="12.75">
      <c r="A64" s="1" t="s">
        <v>83</v>
      </c>
      <c r="B64" s="1">
        <v>1</v>
      </c>
      <c r="C64" s="1">
        <v>2</v>
      </c>
      <c r="D64" s="1" t="s">
        <v>52</v>
      </c>
      <c r="E64" s="1" t="s">
        <v>53</v>
      </c>
    </row>
    <row r="65" spans="1:5" ht="12.75">
      <c r="A65" t="s">
        <v>88</v>
      </c>
      <c r="B65">
        <v>0</v>
      </c>
      <c r="C65">
        <f>D57</f>
        <v>395.98509543828163</v>
      </c>
      <c r="D65">
        <f>(B66-C66)/(B65-C65)</f>
        <v>1.6396559715670438</v>
      </c>
      <c r="E65">
        <f>B66-D65*B65</f>
        <v>0</v>
      </c>
    </row>
    <row r="66" spans="1:3" ht="12.75">
      <c r="A66" t="s">
        <v>89</v>
      </c>
      <c r="B66">
        <f>B57</f>
        <v>0</v>
      </c>
      <c r="C66">
        <f>D58</f>
        <v>649.2793263869243</v>
      </c>
    </row>
    <row r="67" spans="1:5" ht="12.75">
      <c r="A67" s="1" t="s">
        <v>84</v>
      </c>
      <c r="B67" s="1"/>
      <c r="C67" s="1"/>
      <c r="D67" s="1" t="s">
        <v>52</v>
      </c>
      <c r="E67" s="1" t="s">
        <v>53</v>
      </c>
    </row>
    <row r="68" spans="1:5" ht="12.75">
      <c r="A68" t="s">
        <v>88</v>
      </c>
      <c r="B68">
        <v>0</v>
      </c>
      <c r="C68">
        <f>D63</f>
        <v>2950</v>
      </c>
      <c r="D68">
        <f>(B69-C69)/(B68-C68)</f>
        <v>-1</v>
      </c>
      <c r="E68">
        <f>B69-D68*B68</f>
        <v>2950</v>
      </c>
    </row>
    <row r="69" spans="1:3" ht="12.75">
      <c r="A69" t="s">
        <v>89</v>
      </c>
      <c r="B69">
        <f>C68</f>
        <v>2950</v>
      </c>
      <c r="C69">
        <v>0</v>
      </c>
    </row>
    <row r="70" spans="1:5" ht="12.75">
      <c r="A70" s="1" t="s">
        <v>85</v>
      </c>
      <c r="B70" s="1"/>
      <c r="C70" s="1"/>
      <c r="D70" s="1" t="s">
        <v>52</v>
      </c>
      <c r="E70" s="1" t="s">
        <v>53</v>
      </c>
    </row>
    <row r="71" spans="1:5" ht="12.75">
      <c r="A71" t="s">
        <v>88</v>
      </c>
      <c r="B71">
        <f>C63</f>
        <v>4200</v>
      </c>
      <c r="C71">
        <v>0</v>
      </c>
      <c r="D71">
        <f>(B72-C72)/(B71-C71)</f>
        <v>-0.38875016476973606</v>
      </c>
      <c r="E71">
        <f>B72-D71*B71</f>
        <v>1632.7506920328915</v>
      </c>
    </row>
    <row r="72" spans="1:3" ht="12.75">
      <c r="A72" t="s">
        <v>89</v>
      </c>
      <c r="B72">
        <v>0</v>
      </c>
      <c r="C72">
        <f>E63</f>
        <v>1632.7506920328915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15" sqref="B15"/>
    </sheetView>
  </sheetViews>
  <sheetFormatPr defaultColWidth="11.421875" defaultRowHeight="12.75"/>
  <sheetData>
    <row r="1" spans="1:2" ht="12.75">
      <c r="A1" s="2" t="s">
        <v>91</v>
      </c>
      <c r="B1">
        <v>395</v>
      </c>
    </row>
    <row r="2" spans="1:2" ht="12.75">
      <c r="A2" s="2" t="s">
        <v>90</v>
      </c>
      <c r="B2">
        <f>0.5*B1</f>
        <v>197.5</v>
      </c>
    </row>
    <row r="3" spans="1:2" ht="12.75">
      <c r="A3" s="2" t="s">
        <v>92</v>
      </c>
      <c r="B3">
        <f>0.9*B1</f>
        <v>355.5</v>
      </c>
    </row>
    <row r="4" spans="1:4" ht="12.75">
      <c r="A4" s="1" t="s">
        <v>101</v>
      </c>
      <c r="C4" t="s">
        <v>52</v>
      </c>
      <c r="D4" t="s">
        <v>53</v>
      </c>
    </row>
    <row r="5" spans="1:4" ht="12.75">
      <c r="A5" s="2" t="s">
        <v>93</v>
      </c>
      <c r="B5">
        <f>C5*B1^D5</f>
        <v>0.9248649296016772</v>
      </c>
      <c r="C5">
        <v>4.51</v>
      </c>
      <c r="D5">
        <v>-0.265</v>
      </c>
    </row>
    <row r="6" spans="1:2" ht="12.75">
      <c r="A6" s="2" t="s">
        <v>94</v>
      </c>
      <c r="B6">
        <v>1</v>
      </c>
    </row>
    <row r="7" spans="1:2" ht="12.75">
      <c r="A7" s="2" t="s">
        <v>95</v>
      </c>
      <c r="B7">
        <v>0.85</v>
      </c>
    </row>
    <row r="8" spans="1:2" ht="12.75">
      <c r="A8" s="2" t="s">
        <v>96</v>
      </c>
      <c r="B8">
        <v>1</v>
      </c>
    </row>
    <row r="9" spans="1:2" ht="12.75">
      <c r="A9" s="2" t="s">
        <v>97</v>
      </c>
      <c r="B9">
        <v>0.503</v>
      </c>
    </row>
    <row r="10" ht="12.75">
      <c r="A10" s="14" t="s">
        <v>98</v>
      </c>
    </row>
    <row r="11" ht="12.75">
      <c r="A11" s="14" t="s">
        <v>99</v>
      </c>
    </row>
    <row r="12" spans="1:5" ht="12.75">
      <c r="A12" s="2" t="s">
        <v>100</v>
      </c>
      <c r="B12">
        <v>0.9</v>
      </c>
      <c r="C12" s="1" t="s">
        <v>53</v>
      </c>
      <c r="D12" s="1" t="s">
        <v>104</v>
      </c>
      <c r="E12" s="1" t="s">
        <v>42</v>
      </c>
    </row>
    <row r="13" spans="1:5" ht="12.75">
      <c r="A13" s="2" t="s">
        <v>102</v>
      </c>
      <c r="B13">
        <f>B2*B5*B6*B7*B8*B12</f>
        <v>139.7355300511934</v>
      </c>
      <c r="C13">
        <f>-1/3*LOG(B3/B13,10)</f>
        <v>-0.13517758613757996</v>
      </c>
      <c r="D13">
        <f>LOG(($B$3)^2/B13,10)</f>
        <v>2.9563723634785246</v>
      </c>
      <c r="E13">
        <f>10^D13*10^(4*C13)</f>
        <v>260.4126151652362</v>
      </c>
    </row>
    <row r="14" spans="1:5" ht="12.75">
      <c r="A14" s="2" t="s">
        <v>103</v>
      </c>
      <c r="B14">
        <f>B13*B9</f>
        <v>70.28697161575028</v>
      </c>
      <c r="C14">
        <f>-1/3*LOG(B3/B14,10)</f>
        <v>-0.23465492445227082</v>
      </c>
      <c r="D14">
        <f>LOG(($B$3)^2/B14,10)</f>
        <v>3.2548043784225973</v>
      </c>
      <c r="E14">
        <f>10^D14*10^(4*C14)</f>
        <v>207.10218487517002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Roberto José García Martín</cp:lastModifiedBy>
  <dcterms:created xsi:type="dcterms:W3CDTF">2008-11-06T15:17:05Z</dcterms:created>
  <dcterms:modified xsi:type="dcterms:W3CDTF">2009-11-10T10:40:05Z</dcterms:modified>
  <cp:category/>
  <cp:version/>
  <cp:contentType/>
  <cp:contentStatus/>
</cp:coreProperties>
</file>